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phaniemorenogcrcd/Documents/Administration/Financial Management/Budget/2022-23 Budget/"/>
    </mc:Choice>
  </mc:AlternateContent>
  <xr:revisionPtr revIDLastSave="0" documentId="13_ncr:1_{0A0FB131-9E38-9B4B-9AC4-98957E9E8152}" xr6:coauthVersionLast="47" xr6:coauthVersionMax="47" xr10:uidLastSave="{00000000-0000-0000-0000-000000000000}"/>
  <bookViews>
    <workbookView xWindow="5520" yWindow="500" windowWidth="30880" windowHeight="21100" xr2:uid="{00000000-000D-0000-FFFF-FFFF00000000}"/>
  </bookViews>
  <sheets>
    <sheet name="Recommended Budget" sheetId="1" r:id="rId1"/>
  </sheets>
  <definedNames>
    <definedName name="_xlnm.Print_Titles" localSheetId="0">'Recommended Budget'!$5:$5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0" i="1" l="1"/>
  <c r="C40" i="1"/>
  <c r="C67" i="1" l="1"/>
  <c r="C62" i="1"/>
  <c r="C72" i="1"/>
  <c r="C71" i="1"/>
  <c r="C32" i="1"/>
  <c r="C33" i="1" s="1"/>
  <c r="B32" i="1"/>
  <c r="C45" i="1"/>
  <c r="C46" i="1" s="1"/>
  <c r="C30" i="1"/>
  <c r="C31" i="1" s="1"/>
  <c r="C25" i="1"/>
  <c r="C47" i="1" l="1"/>
  <c r="C75" i="1"/>
  <c r="C50" i="1"/>
  <c r="C54" i="1" l="1"/>
  <c r="C53" i="1"/>
  <c r="C56" i="1" l="1"/>
  <c r="C76" i="1" s="1"/>
  <c r="B74" i="1" l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5" i="1"/>
  <c r="B54" i="1"/>
  <c r="B53" i="1"/>
  <c r="B52" i="1"/>
  <c r="B49" i="1"/>
  <c r="B48" i="1"/>
  <c r="B37" i="1"/>
  <c r="C37" i="1" s="1"/>
  <c r="B44" i="1"/>
  <c r="B43" i="1"/>
  <c r="B42" i="1"/>
  <c r="B34" i="1"/>
  <c r="B33" i="1"/>
  <c r="B30" i="1"/>
  <c r="B22" i="1"/>
  <c r="B21" i="1"/>
  <c r="B18" i="1"/>
  <c r="B17" i="1"/>
  <c r="B16" i="1"/>
  <c r="B15" i="1"/>
  <c r="B14" i="1"/>
  <c r="B13" i="1"/>
  <c r="B12" i="1"/>
  <c r="B11" i="1"/>
  <c r="B10" i="1"/>
  <c r="B9" i="1"/>
  <c r="B8" i="1"/>
  <c r="B75" i="1" l="1"/>
  <c r="B56" i="1"/>
  <c r="B25" i="1"/>
  <c r="B31" i="1"/>
  <c r="B46" i="1"/>
  <c r="B19" i="1"/>
  <c r="B47" i="1" l="1"/>
  <c r="XFD47" i="1" s="1"/>
  <c r="C7" i="1"/>
  <c r="C19" i="1" s="1"/>
  <c r="B26" i="1"/>
  <c r="B76" i="1" l="1"/>
  <c r="B77" i="1" s="1"/>
  <c r="C26" i="1"/>
  <c r="C77" i="1" s="1"/>
</calcChain>
</file>

<file path=xl/sharedStrings.xml><?xml version="1.0" encoding="utf-8"?>
<sst xmlns="http://schemas.openxmlformats.org/spreadsheetml/2006/main" count="116" uniqueCount="114">
  <si>
    <t xml:space="preserve">      400100 Property Taxes</t>
  </si>
  <si>
    <t xml:space="preserve">         400110 Property Taxes-Current Secured</t>
  </si>
  <si>
    <t xml:space="preserve">         400121 Prop Tax-Unitary Railroad</t>
  </si>
  <si>
    <t xml:space="preserve">         400170 Property Taxes-Supplemental</t>
  </si>
  <si>
    <t xml:space="preserve">         400210 Prop Taxes - Current Unsecured</t>
  </si>
  <si>
    <t xml:space="preserve">         400310 Property Taxes - Unitary</t>
  </si>
  <si>
    <t xml:space="preserve">         400610 Property Taxes - SB813</t>
  </si>
  <si>
    <t xml:space="preserve">         401500 Property Tax - RPTTF Residual</t>
  </si>
  <si>
    <t xml:space="preserve">         430110 Interest-Deposits &amp; Investmt</t>
  </si>
  <si>
    <t xml:space="preserve">         441910 Homeowner Property Tax Relief</t>
  </si>
  <si>
    <t xml:space="preserve">         460011 Redevelopment Agency</t>
  </si>
  <si>
    <t xml:space="preserve">         498022 Trust Fund-Property Tax-ERAF</t>
  </si>
  <si>
    <t xml:space="preserve">      481400 Grants and Agreements</t>
  </si>
  <si>
    <t xml:space="preserve">         481401 USDA-NRCS</t>
  </si>
  <si>
    <t xml:space="preserve">   Total Revenue</t>
  </si>
  <si>
    <t>Expenses</t>
  </si>
  <si>
    <t xml:space="preserve">   PROGRAM &amp; PROJECTS (Variable)</t>
  </si>
  <si>
    <t xml:space="preserve">         525094 Sponsorships</t>
  </si>
  <si>
    <t xml:space="preserve">         525551 Other Outside Contractors</t>
  </si>
  <si>
    <t xml:space="preserve">         525098 Silver Creek Linear Park</t>
  </si>
  <si>
    <t xml:space="preserve">         528231 Community Grants</t>
  </si>
  <si>
    <t xml:space="preserve">         528240 Watershed Cap. Project</t>
  </si>
  <si>
    <t xml:space="preserve">         528245 Post-Disaster Restoration Program</t>
  </si>
  <si>
    <t xml:space="preserve">         528247 Farm &amp; Ranch Solid Waste Removal</t>
  </si>
  <si>
    <t xml:space="preserve">   Total PROGRAM &amp; PROJECTS (Variable)</t>
  </si>
  <si>
    <t xml:space="preserve">   SALARY &amp; BENEFITS</t>
  </si>
  <si>
    <t xml:space="preserve">      510801 Salaries</t>
  </si>
  <si>
    <t xml:space="preserve">      510836 Retirement Benefits</t>
  </si>
  <si>
    <t xml:space="preserve">      511302 Employer Payroll Taxes</t>
  </si>
  <si>
    <t xml:space="preserve">      511304 State Unemployment</t>
  </si>
  <si>
    <t xml:space="preserve">      511305 Workman's Comp</t>
  </si>
  <si>
    <t xml:space="preserve">   Total SALARY &amp; BENEFITS</t>
  </si>
  <si>
    <t xml:space="preserve">   SERVICES &amp; SUPPLIES (FIXED)</t>
  </si>
  <si>
    <t xml:space="preserve">      520530 Communications/Phone/Web</t>
  </si>
  <si>
    <t xml:space="preserve">      521020 Meetings &amp; Refreshments</t>
  </si>
  <si>
    <t xml:space="preserve">      521022 Security Services</t>
  </si>
  <si>
    <t xml:space="preserve">      522010 Insurance</t>
  </si>
  <si>
    <t xml:space="preserve">      524510 Membership Dues</t>
  </si>
  <si>
    <t xml:space="preserve">      525010 Office Supplies</t>
  </si>
  <si>
    <t xml:space="preserve">      525070 Printing &amp; Reproduction</t>
  </si>
  <si>
    <t xml:space="preserve">      525071 Research Publications</t>
  </si>
  <si>
    <t xml:space="preserve">      525080 Legal Notices</t>
  </si>
  <si>
    <t xml:space="preserve">      525101 Board &amp; Staff Registration</t>
  </si>
  <si>
    <t xml:space="preserve">      525586 General Counsel- Legal</t>
  </si>
  <si>
    <t xml:space="preserve">      526100 Bookkeeping</t>
  </si>
  <si>
    <t xml:space="preserve">      526110 Audit</t>
  </si>
  <si>
    <t xml:space="preserve">      527010 Lease Bldg &amp; Improvements</t>
  </si>
  <si>
    <t xml:space="preserve">      528520 Transportation and Travel</t>
  </si>
  <si>
    <t xml:space="preserve">      529510 Contributions to other Agencies</t>
  </si>
  <si>
    <t xml:space="preserve">      556100 Equipment &amp; Furniture</t>
  </si>
  <si>
    <t xml:space="preserve">   Total SERVICES &amp; SUPPLIES (FIXED)</t>
  </si>
  <si>
    <t>Total Expenses</t>
  </si>
  <si>
    <t>Net Operating Income</t>
  </si>
  <si>
    <t>Guadalupe-Coyote Resource Conservation District</t>
  </si>
  <si>
    <t xml:space="preserve">                     Employee Benefits - Cafeteria Plan</t>
  </si>
  <si>
    <t xml:space="preserve">                     Wages</t>
  </si>
  <si>
    <t xml:space="preserve">                         USDA Community Composting Network</t>
  </si>
  <si>
    <t xml:space="preserve">         528249 Tule Elk Habitat Program</t>
  </si>
  <si>
    <t>FY 21-22 Actual</t>
  </si>
  <si>
    <t>Revenue</t>
  </si>
  <si>
    <r>
      <t xml:space="preserve">         481414 </t>
    </r>
    <r>
      <rPr>
        <sz val="8"/>
        <color rgb="FF000000"/>
        <rFont val="Arial"/>
        <family val="2"/>
      </rPr>
      <t>CalRecy</t>
    </r>
    <r>
      <rPr>
        <sz val="8"/>
        <color indexed="8"/>
        <rFont val="Arial"/>
        <family val="2"/>
      </rPr>
      <t>cle</t>
    </r>
  </si>
  <si>
    <t>Notes</t>
  </si>
  <si>
    <t>Annual SRF ($500.00); CA Envirothon ($750.00); GF LA Scholarship ($3,000)</t>
  </si>
  <si>
    <t xml:space="preserve">         528254 Project Zen</t>
  </si>
  <si>
    <t>Disaster TA (funding previously allocated)</t>
  </si>
  <si>
    <t>McBain Service Agreement (funding previously allocated)</t>
  </si>
  <si>
    <t>Habitat Service Agreement ($12,800; funding previously allocated); Requested allocation from Director Lanman ($30,000)</t>
  </si>
  <si>
    <t>Environmental Advocacy (e.g., EIRs, Guadalupe AMT, SMP)</t>
  </si>
  <si>
    <t>Partnership with San Jose (funding previously allocated)</t>
  </si>
  <si>
    <t>Agreements with SJCC and VV (funding previously allocated)</t>
  </si>
  <si>
    <t>$12,500 pending grant payments - prior year accrual)</t>
  </si>
  <si>
    <t>(Projection not broken down by category)</t>
  </si>
  <si>
    <t>Projected grant reimbursements</t>
  </si>
  <si>
    <t>Grant and community outreach administration</t>
  </si>
  <si>
    <t>Projected contractor costs for this fiscal year</t>
  </si>
  <si>
    <t xml:space="preserve">      Total Miscellaneous Outreach &amp; Education</t>
  </si>
  <si>
    <t xml:space="preserve">      Total Grants and Agreements</t>
  </si>
  <si>
    <t xml:space="preserve">      Total Property Taxes</t>
  </si>
  <si>
    <t xml:space="preserve">      Total Miscellaneous Contract Services</t>
  </si>
  <si>
    <t xml:space="preserve">      Total Grants and Partnerships</t>
  </si>
  <si>
    <t xml:space="preserve">      Total Other GCRCD-funded Projects</t>
  </si>
  <si>
    <t>Remaining grant allocation</t>
  </si>
  <si>
    <t>Executive Director</t>
  </si>
  <si>
    <t>Projected employee wages for new position and existing Watershed Technician (Castillo)</t>
  </si>
  <si>
    <t>Recommended funding towards new employee benefits</t>
  </si>
  <si>
    <t>Deferred compensation (Moreno)</t>
  </si>
  <si>
    <t>Estimated payroll taxes</t>
  </si>
  <si>
    <t>Estimated workers compensation premium</t>
  </si>
  <si>
    <t>Building lease agreements (Civic and SJCC)</t>
  </si>
  <si>
    <t>500 miles @ .625/mile</t>
  </si>
  <si>
    <t xml:space="preserve">LAFCO annual cost </t>
  </si>
  <si>
    <t>Telephone/internet</t>
  </si>
  <si>
    <t>Equipment needed for new employee, office &amp; virtual meetings</t>
  </si>
  <si>
    <t>Virtual meeting costs anticipated to continue</t>
  </si>
  <si>
    <t>Do not anticipate needing this at the new site</t>
  </si>
  <si>
    <t>General liability insurance</t>
  </si>
  <si>
    <t>CARCD ($3,000); SCCSDA ($100); CSDA ($1,500)</t>
  </si>
  <si>
    <t>Increased costs with new employee</t>
  </si>
  <si>
    <t>Outreach flyers and brochures</t>
  </si>
  <si>
    <t>Tule elk habitat research</t>
  </si>
  <si>
    <t>Public notices</t>
  </si>
  <si>
    <t>$300 allowance per Director/Associate Director/Staff</t>
  </si>
  <si>
    <t>Fee increase; anticipated increase in services needed for contract review; policy development; legislative review; legal research; meetings</t>
  </si>
  <si>
    <t>FY 20 &amp; FY 21 biennial audit</t>
  </si>
  <si>
    <t>Transition to new contractor with increased responsibilities</t>
  </si>
  <si>
    <t xml:space="preserve">                        GRPC Partnership (Workshops)</t>
  </si>
  <si>
    <t xml:space="preserve">                        ReScape Partnership (Workshops)</t>
  </si>
  <si>
    <t>Non-labor costs for two workshops</t>
  </si>
  <si>
    <r>
      <t xml:space="preserve">                        </t>
    </r>
    <r>
      <rPr>
        <sz val="8"/>
        <color rgb="FF000000"/>
        <rFont val="Arial"/>
        <family val="2"/>
      </rPr>
      <t>Guadalupe River Park Conservancy (GRPC)</t>
    </r>
  </si>
  <si>
    <r>
      <t xml:space="preserve">                        </t>
    </r>
    <r>
      <rPr>
        <sz val="8"/>
        <color rgb="FF000000"/>
        <rFont val="Arial"/>
        <family val="2"/>
      </rPr>
      <t>ReScape/Earth Foundries</t>
    </r>
  </si>
  <si>
    <t xml:space="preserve">         528252 Watershed Education and TA Program</t>
  </si>
  <si>
    <t>Proposed Budget</t>
  </si>
  <si>
    <t>FY 22-23</t>
  </si>
  <si>
    <t>FY 22-23 Proposed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</si>
</sst>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_€"/>
    <numFmt numFmtId="165" formatCode="&quot;$&quot;* #,##0.00\ _€"/>
  </numFmts>
  <fonts count="13">
    <font>
      <sz val="11"/>
      <color indexed="8"/>
      <name val="Calibri"/>
      <family val="2"/>
      <scheme val="minor"/>
    </font>
    <font>
      <b/>
      <sz val="8"/>
      <color indexed="8"/>
      <name val="Arial"/>
    </font>
    <font>
      <sz val="8"/>
      <color indexed="8"/>
      <name val="Arial"/>
    </font>
    <font>
      <b/>
      <sz val="14"/>
      <color indexed="8"/>
      <name val="Arial"/>
    </font>
    <font>
      <b/>
      <sz val="10"/>
      <color indexed="8"/>
      <name val="Arial"/>
    </font>
    <font>
      <sz val="8"/>
      <color rgb="FF00000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8"/>
      <color rgb="FF000000"/>
      <name val="Arial"/>
      <family val="2"/>
    </font>
    <font>
      <sz val="8"/>
      <color indexed="8"/>
      <name val="Arial"/>
      <family val="2"/>
    </font>
    <font>
      <sz val="8"/>
      <color indexed="8"/>
      <name val="ArialMT"/>
    </font>
    <font>
      <b/>
      <sz val="9"/>
      <color indexed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164" fontId="2" fillId="0" borderId="0" xfId="0" applyNumberFormat="1" applyFont="1" applyAlignment="1">
      <alignment wrapText="1"/>
    </xf>
    <xf numFmtId="164" fontId="2" fillId="0" borderId="0" xfId="0" applyNumberFormat="1" applyFont="1" applyAlignment="1">
      <alignment horizontal="right" wrapText="1"/>
    </xf>
    <xf numFmtId="165" fontId="1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0" fillId="0" borderId="0" xfId="0" applyFont="1"/>
    <xf numFmtId="4" fontId="10" fillId="0" borderId="0" xfId="0" applyNumberFormat="1" applyFont="1"/>
    <xf numFmtId="0" fontId="11" fillId="0" borderId="1" xfId="0" applyFont="1" applyBorder="1" applyAlignment="1">
      <alignment horizont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0" fillId="0" borderId="1" xfId="0" applyBorder="1"/>
    <xf numFmtId="165" fontId="6" fillId="0" borderId="2" xfId="0" applyNumberFormat="1" applyFont="1" applyBorder="1" applyAlignment="1">
      <alignment horizontal="right" wrapText="1"/>
    </xf>
    <xf numFmtId="0" fontId="7" fillId="0" borderId="0" xfId="0" applyFont="1" applyAlignment="1">
      <alignment horizontal="right"/>
    </xf>
    <xf numFmtId="165" fontId="7" fillId="0" borderId="0" xfId="0" applyNumberFormat="1" applyFont="1" applyAlignment="1">
      <alignment horizontal="right"/>
    </xf>
    <xf numFmtId="40" fontId="12" fillId="0" borderId="2" xfId="0" applyNumberFormat="1" applyFont="1" applyBorder="1" applyAlignment="1">
      <alignment horizontal="right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FD78"/>
  <sheetViews>
    <sheetView tabSelected="1" topLeftCell="A19" zoomScale="150" zoomScaleNormal="150" workbookViewId="0">
      <selection activeCell="C10" sqref="C10:C11"/>
    </sheetView>
  </sheetViews>
  <sheetFormatPr baseColWidth="10" defaultColWidth="8.83203125" defaultRowHeight="15"/>
  <cols>
    <col min="1" max="1" width="38.83203125" style="7" customWidth="1"/>
    <col min="2" max="3" width="16.33203125" customWidth="1"/>
    <col min="4" max="4" width="83.1640625" customWidth="1"/>
  </cols>
  <sheetData>
    <row r="1" spans="1:4" ht="18">
      <c r="A1" s="18" t="s">
        <v>53</v>
      </c>
      <c r="B1" s="19"/>
    </row>
    <row r="2" spans="1:4" ht="18">
      <c r="A2" s="18" t="s">
        <v>111</v>
      </c>
      <c r="B2" s="19"/>
    </row>
    <row r="3" spans="1:4">
      <c r="A3" s="20" t="s">
        <v>112</v>
      </c>
      <c r="B3" s="19"/>
    </row>
    <row r="5" spans="1:4">
      <c r="A5" s="5"/>
      <c r="B5" s="9" t="s">
        <v>58</v>
      </c>
      <c r="C5" s="9" t="s">
        <v>113</v>
      </c>
      <c r="D5" s="13" t="s">
        <v>61</v>
      </c>
    </row>
    <row r="6" spans="1:4">
      <c r="A6" s="11" t="s">
        <v>59</v>
      </c>
      <c r="B6" s="2"/>
      <c r="C6" s="2"/>
    </row>
    <row r="7" spans="1:4">
      <c r="A7" s="4" t="s">
        <v>0</v>
      </c>
      <c r="B7" s="2"/>
      <c r="C7" s="2">
        <f>SUM(B19*1.02)</f>
        <v>314328.35099999991</v>
      </c>
      <c r="D7" s="12" t="s">
        <v>71</v>
      </c>
    </row>
    <row r="8" spans="1:4">
      <c r="A8" s="6" t="s">
        <v>1</v>
      </c>
      <c r="B8" s="2">
        <f>248663.91</f>
        <v>248663.91</v>
      </c>
      <c r="C8" s="2"/>
    </row>
    <row r="9" spans="1:4">
      <c r="A9" s="6" t="s">
        <v>2</v>
      </c>
      <c r="B9" s="2">
        <f>29.53</f>
        <v>29.53</v>
      </c>
      <c r="C9" s="2"/>
    </row>
    <row r="10" spans="1:4">
      <c r="A10" s="6" t="s">
        <v>3</v>
      </c>
      <c r="B10" s="2">
        <f>0</f>
        <v>0</v>
      </c>
      <c r="C10" s="2"/>
    </row>
    <row r="11" spans="1:4">
      <c r="A11" s="6" t="s">
        <v>4</v>
      </c>
      <c r="B11" s="2">
        <f>14644.77</f>
        <v>14644.77</v>
      </c>
      <c r="C11" s="2"/>
    </row>
    <row r="12" spans="1:4">
      <c r="A12" s="6" t="s">
        <v>5</v>
      </c>
      <c r="B12" s="2">
        <f>2255.48</f>
        <v>2255.48</v>
      </c>
      <c r="C12" s="2"/>
    </row>
    <row r="13" spans="1:4">
      <c r="A13" s="6" t="s">
        <v>6</v>
      </c>
      <c r="B13" s="2">
        <f>5750.35</f>
        <v>5750.35</v>
      </c>
      <c r="C13" s="2"/>
    </row>
    <row r="14" spans="1:4">
      <c r="A14" s="6" t="s">
        <v>7</v>
      </c>
      <c r="B14" s="2">
        <f>5958.8</f>
        <v>5958.8</v>
      </c>
      <c r="C14" s="2"/>
    </row>
    <row r="15" spans="1:4">
      <c r="A15" s="6" t="s">
        <v>8</v>
      </c>
      <c r="B15" s="2">
        <f>3865.01</f>
        <v>3865.01</v>
      </c>
      <c r="C15" s="2"/>
    </row>
    <row r="16" spans="1:4">
      <c r="A16" s="6" t="s">
        <v>9</v>
      </c>
      <c r="B16" s="2">
        <f>881.26</f>
        <v>881.26</v>
      </c>
      <c r="C16" s="2"/>
    </row>
    <row r="17" spans="1:4">
      <c r="A17" s="6" t="s">
        <v>10</v>
      </c>
      <c r="B17" s="2">
        <f>4269.22</f>
        <v>4269.22</v>
      </c>
      <c r="C17" s="2"/>
    </row>
    <row r="18" spans="1:4">
      <c r="A18" s="6" t="s">
        <v>11</v>
      </c>
      <c r="B18" s="2">
        <f>21846.72</f>
        <v>21846.720000000001</v>
      </c>
      <c r="C18" s="2"/>
      <c r="D18" s="13"/>
    </row>
    <row r="19" spans="1:4">
      <c r="A19" s="10" t="s">
        <v>77</v>
      </c>
      <c r="B19" s="3">
        <f>(((((((((((B7)+(B8))+(B9))+(B10))+(B11))+(B12))+(B13))+(B14))+(B15))+(B16))+(B17))+(B18)</f>
        <v>308165.04999999993</v>
      </c>
      <c r="C19" s="3">
        <f>SUM(C7:C18)</f>
        <v>314328.35099999991</v>
      </c>
    </row>
    <row r="20" spans="1:4">
      <c r="A20" s="4" t="s">
        <v>12</v>
      </c>
      <c r="B20" s="2"/>
      <c r="C20" s="2"/>
    </row>
    <row r="21" spans="1:4">
      <c r="A21" s="6" t="s">
        <v>13</v>
      </c>
      <c r="B21" s="2">
        <f>0</f>
        <v>0</v>
      </c>
      <c r="C21" s="2">
        <v>45000</v>
      </c>
      <c r="D21" s="12" t="s">
        <v>72</v>
      </c>
    </row>
    <row r="22" spans="1:4">
      <c r="A22" s="6" t="s">
        <v>60</v>
      </c>
      <c r="B22" s="2">
        <f>36043.44</f>
        <v>36043.440000000002</v>
      </c>
      <c r="C22" s="2">
        <v>0</v>
      </c>
      <c r="D22" s="12"/>
    </row>
    <row r="23" spans="1:4">
      <c r="A23" s="6" t="s">
        <v>108</v>
      </c>
      <c r="B23" s="2"/>
      <c r="C23" s="2">
        <v>2000</v>
      </c>
      <c r="D23" s="12"/>
    </row>
    <row r="24" spans="1:4">
      <c r="A24" s="6" t="s">
        <v>109</v>
      </c>
      <c r="B24" s="2"/>
      <c r="C24" s="2">
        <v>2000</v>
      </c>
      <c r="D24" s="12"/>
    </row>
    <row r="25" spans="1:4">
      <c r="A25" s="10" t="s">
        <v>76</v>
      </c>
      <c r="B25" s="3">
        <f>SUM(B21:B22)</f>
        <v>36043.440000000002</v>
      </c>
      <c r="C25" s="3">
        <f>SUM(C21:C22)</f>
        <v>45000</v>
      </c>
      <c r="D25" s="12"/>
    </row>
    <row r="26" spans="1:4">
      <c r="A26" s="10" t="s">
        <v>14</v>
      </c>
      <c r="B26" s="3">
        <f>SUM(B19,B25)</f>
        <v>344208.48999999993</v>
      </c>
      <c r="C26" s="3">
        <f>SUM(C19,C25)</f>
        <v>359328.35099999991</v>
      </c>
      <c r="D26" s="12"/>
    </row>
    <row r="27" spans="1:4">
      <c r="A27" s="4"/>
      <c r="B27" s="2"/>
      <c r="C27" s="2"/>
      <c r="D27" s="12"/>
    </row>
    <row r="28" spans="1:4">
      <c r="A28" s="4" t="s">
        <v>15</v>
      </c>
      <c r="B28" s="1"/>
      <c r="C28" s="1"/>
      <c r="D28" s="12"/>
    </row>
    <row r="29" spans="1:4">
      <c r="A29" s="4" t="s">
        <v>16</v>
      </c>
      <c r="B29" s="2"/>
      <c r="C29" s="2"/>
      <c r="D29" s="12"/>
    </row>
    <row r="30" spans="1:4">
      <c r="A30" s="6" t="s">
        <v>17</v>
      </c>
      <c r="B30" s="2">
        <f>710</f>
        <v>710</v>
      </c>
      <c r="C30" s="2">
        <f>SUM(3000+750+500)</f>
        <v>4250</v>
      </c>
      <c r="D30" s="12" t="s">
        <v>62</v>
      </c>
    </row>
    <row r="31" spans="1:4">
      <c r="A31" s="10" t="s">
        <v>75</v>
      </c>
      <c r="B31" s="3">
        <f>SUM(B29:B30)</f>
        <v>710</v>
      </c>
      <c r="C31" s="3">
        <f>SUM(C29:C30)</f>
        <v>4250</v>
      </c>
      <c r="D31" s="12"/>
    </row>
    <row r="32" spans="1:4">
      <c r="A32" s="6" t="s">
        <v>18</v>
      </c>
      <c r="B32" s="2">
        <f>2791.68+1062.58</f>
        <v>3854.2599999999998</v>
      </c>
      <c r="C32" s="2">
        <f>20904</f>
        <v>20904</v>
      </c>
      <c r="D32" s="12" t="s">
        <v>73</v>
      </c>
    </row>
    <row r="33" spans="1:4 16384:16384">
      <c r="A33" s="10" t="s">
        <v>78</v>
      </c>
      <c r="B33" s="3">
        <f>SUM(B32)</f>
        <v>3854.2599999999998</v>
      </c>
      <c r="C33" s="3">
        <f>SUM(C32)</f>
        <v>20904</v>
      </c>
      <c r="D33" s="12"/>
    </row>
    <row r="34" spans="1:4 16384:16384">
      <c r="A34" s="6" t="s">
        <v>19</v>
      </c>
      <c r="B34" s="2">
        <f>13520.93</f>
        <v>13520.93</v>
      </c>
      <c r="C34" s="2">
        <v>15000</v>
      </c>
      <c r="D34" s="12" t="s">
        <v>74</v>
      </c>
    </row>
    <row r="35" spans="1:4 16384:16384">
      <c r="A35" s="6" t="s">
        <v>56</v>
      </c>
      <c r="B35" s="2">
        <v>0</v>
      </c>
      <c r="C35" s="2">
        <v>45000</v>
      </c>
      <c r="D35" s="12" t="s">
        <v>69</v>
      </c>
    </row>
    <row r="36" spans="1:4 16384:16384">
      <c r="A36" s="6" t="s">
        <v>63</v>
      </c>
      <c r="B36" s="2">
        <v>0</v>
      </c>
      <c r="C36" s="2">
        <v>73000</v>
      </c>
      <c r="D36" s="12" t="s">
        <v>68</v>
      </c>
    </row>
    <row r="37" spans="1:4 16384:16384">
      <c r="A37" s="6" t="s">
        <v>23</v>
      </c>
      <c r="B37" s="2">
        <f>33696.35</f>
        <v>33696.35</v>
      </c>
      <c r="C37" s="2">
        <f>SUM(36372-B37)+1000</f>
        <v>3675.6500000000015</v>
      </c>
      <c r="D37" s="12" t="s">
        <v>81</v>
      </c>
    </row>
    <row r="38" spans="1:4 16384:16384">
      <c r="A38" s="6" t="s">
        <v>105</v>
      </c>
      <c r="B38" s="2"/>
      <c r="C38" s="2">
        <v>1250</v>
      </c>
      <c r="D38" s="12" t="s">
        <v>107</v>
      </c>
    </row>
    <row r="39" spans="1:4 16384:16384">
      <c r="A39" s="6" t="s">
        <v>106</v>
      </c>
      <c r="B39" s="2"/>
      <c r="C39" s="2">
        <v>1250</v>
      </c>
      <c r="D39" s="12" t="s">
        <v>107</v>
      </c>
    </row>
    <row r="40" spans="1:4 16384:16384">
      <c r="A40" s="10" t="s">
        <v>79</v>
      </c>
      <c r="B40" s="3">
        <f>SUM(B34:B39)</f>
        <v>47217.279999999999</v>
      </c>
      <c r="C40" s="3">
        <f>SUM(C34:C39)</f>
        <v>139175.65</v>
      </c>
      <c r="D40" s="12"/>
    </row>
    <row r="41" spans="1:4 16384:16384">
      <c r="A41" s="6" t="s">
        <v>20</v>
      </c>
      <c r="B41" s="2">
        <v>0</v>
      </c>
      <c r="C41" s="2">
        <v>0</v>
      </c>
      <c r="D41" s="12" t="s">
        <v>70</v>
      </c>
    </row>
    <row r="42" spans="1:4 16384:16384">
      <c r="A42" s="6" t="s">
        <v>21</v>
      </c>
      <c r="B42" s="2">
        <f>18714.3</f>
        <v>18714.3</v>
      </c>
      <c r="C42" s="2">
        <v>14450</v>
      </c>
      <c r="D42" s="12" t="s">
        <v>67</v>
      </c>
    </row>
    <row r="43" spans="1:4 16384:16384">
      <c r="A43" s="6" t="s">
        <v>22</v>
      </c>
      <c r="B43" s="2">
        <f>0</f>
        <v>0</v>
      </c>
      <c r="C43" s="8">
        <v>3483.96</v>
      </c>
      <c r="D43" s="12" t="s">
        <v>64</v>
      </c>
    </row>
    <row r="44" spans="1:4 16384:16384">
      <c r="A44" s="6" t="s">
        <v>110</v>
      </c>
      <c r="B44" s="2">
        <f>10192.53</f>
        <v>10192.530000000001</v>
      </c>
      <c r="C44" s="2">
        <v>10000</v>
      </c>
      <c r="D44" s="12" t="s">
        <v>65</v>
      </c>
    </row>
    <row r="45" spans="1:4 16384:16384">
      <c r="A45" s="6" t="s">
        <v>57</v>
      </c>
      <c r="B45" s="2">
        <v>0</v>
      </c>
      <c r="C45" s="2">
        <f>12800+30000</f>
        <v>42800</v>
      </c>
      <c r="D45" s="12" t="s">
        <v>66</v>
      </c>
    </row>
    <row r="46" spans="1:4 16384:16384">
      <c r="A46" s="10" t="s">
        <v>80</v>
      </c>
      <c r="B46" s="3">
        <f>SUM(B41:B44)</f>
        <v>28906.83</v>
      </c>
      <c r="C46" s="3">
        <f>SUM(C41:C45)</f>
        <v>70733.959999999992</v>
      </c>
      <c r="D46" s="12"/>
    </row>
    <row r="47" spans="1:4 16384:16384" s="15" customFormat="1">
      <c r="A47" s="10" t="s">
        <v>24</v>
      </c>
      <c r="B47" s="14">
        <f>SUM(B46,B40,B33,B31)</f>
        <v>80688.37</v>
      </c>
      <c r="C47" s="14">
        <f>SUM(C46,C40,C33,C31)</f>
        <v>235063.61</v>
      </c>
      <c r="D47" s="12"/>
      <c r="XFD47" s="16">
        <f>SUM(B47:XFC47)</f>
        <v>315751.98</v>
      </c>
    </row>
    <row r="48" spans="1:4 16384:16384">
      <c r="A48" s="4" t="s">
        <v>25</v>
      </c>
      <c r="B48" s="2">
        <f>0</f>
        <v>0</v>
      </c>
      <c r="C48" s="2"/>
      <c r="D48" s="12"/>
    </row>
    <row r="49" spans="1:4">
      <c r="A49" s="6" t="s">
        <v>26</v>
      </c>
      <c r="B49" s="2">
        <f>109491.25</f>
        <v>109491.25</v>
      </c>
      <c r="C49" s="2">
        <v>109000</v>
      </c>
      <c r="D49" s="12" t="s">
        <v>82</v>
      </c>
    </row>
    <row r="50" spans="1:4">
      <c r="A50" s="6" t="s">
        <v>55</v>
      </c>
      <c r="B50" s="2">
        <v>0</v>
      </c>
      <c r="C50" s="2">
        <f>SUM(40*1170)+(25*96)</f>
        <v>49200</v>
      </c>
      <c r="D50" s="12" t="s">
        <v>83</v>
      </c>
    </row>
    <row r="51" spans="1:4">
      <c r="A51" s="6" t="s">
        <v>54</v>
      </c>
      <c r="B51" s="2">
        <v>0</v>
      </c>
      <c r="C51" s="2">
        <v>9000</v>
      </c>
      <c r="D51" s="12" t="s">
        <v>84</v>
      </c>
    </row>
    <row r="52" spans="1:4">
      <c r="A52" s="6" t="s">
        <v>27</v>
      </c>
      <c r="B52" s="2">
        <f>18996</f>
        <v>18996</v>
      </c>
      <c r="C52" s="2">
        <v>18996</v>
      </c>
      <c r="D52" s="12" t="s">
        <v>85</v>
      </c>
    </row>
    <row r="53" spans="1:4">
      <c r="A53" s="6" t="s">
        <v>28</v>
      </c>
      <c r="B53" s="2">
        <f>8376.08</f>
        <v>8376.08</v>
      </c>
      <c r="C53" s="2">
        <f>SUM(C49:C50)*0.075</f>
        <v>11865</v>
      </c>
      <c r="D53" s="12" t="s">
        <v>86</v>
      </c>
    </row>
    <row r="54" spans="1:4">
      <c r="A54" s="6" t="s">
        <v>29</v>
      </c>
      <c r="B54" s="2">
        <f>526.46</f>
        <v>526.46</v>
      </c>
      <c r="C54" s="2">
        <f>SUM(C49:C50)*0.005</f>
        <v>791</v>
      </c>
      <c r="D54" s="12" t="s">
        <v>86</v>
      </c>
    </row>
    <row r="55" spans="1:4">
      <c r="A55" s="6" t="s">
        <v>30</v>
      </c>
      <c r="B55" s="2">
        <f>517.11</f>
        <v>517.11</v>
      </c>
      <c r="C55" s="2">
        <v>800</v>
      </c>
      <c r="D55" s="12" t="s">
        <v>87</v>
      </c>
    </row>
    <row r="56" spans="1:4">
      <c r="A56" s="10" t="s">
        <v>31</v>
      </c>
      <c r="B56" s="3">
        <f>SUM(B49:B55)</f>
        <v>137906.89999999997</v>
      </c>
      <c r="C56" s="3">
        <f>SUM(C49:C55)</f>
        <v>199652</v>
      </c>
      <c r="D56" s="12"/>
    </row>
    <row r="57" spans="1:4">
      <c r="A57" s="4" t="s">
        <v>32</v>
      </c>
      <c r="B57" s="2"/>
      <c r="C57" s="2"/>
      <c r="D57" s="12"/>
    </row>
    <row r="58" spans="1:4">
      <c r="A58" s="6" t="s">
        <v>33</v>
      </c>
      <c r="B58" s="2">
        <f>3342.38</f>
        <v>3342.38</v>
      </c>
      <c r="C58" s="2">
        <v>4000</v>
      </c>
      <c r="D58" s="12" t="s">
        <v>91</v>
      </c>
    </row>
    <row r="59" spans="1:4">
      <c r="A59" s="6" t="s">
        <v>34</v>
      </c>
      <c r="B59" s="2">
        <f>658.25</f>
        <v>658.25</v>
      </c>
      <c r="C59" s="2">
        <v>750</v>
      </c>
      <c r="D59" s="12" t="s">
        <v>93</v>
      </c>
    </row>
    <row r="60" spans="1:4">
      <c r="A60" s="6" t="s">
        <v>35</v>
      </c>
      <c r="B60" s="2">
        <f>0</f>
        <v>0</v>
      </c>
      <c r="C60" s="2">
        <v>0</v>
      </c>
      <c r="D60" s="12" t="s">
        <v>94</v>
      </c>
    </row>
    <row r="61" spans="1:4">
      <c r="A61" s="6" t="s">
        <v>36</v>
      </c>
      <c r="B61" s="2">
        <f>2373</f>
        <v>2373</v>
      </c>
      <c r="C61" s="2">
        <v>2600</v>
      </c>
      <c r="D61" s="12" t="s">
        <v>95</v>
      </c>
    </row>
    <row r="62" spans="1:4">
      <c r="A62" s="6" t="s">
        <v>37</v>
      </c>
      <c r="B62" s="2">
        <f>4202</f>
        <v>4202</v>
      </c>
      <c r="C62" s="2">
        <f>SUM(3000+100+1500)</f>
        <v>4600</v>
      </c>
      <c r="D62" s="12" t="s">
        <v>96</v>
      </c>
    </row>
    <row r="63" spans="1:4">
      <c r="A63" s="6" t="s">
        <v>38</v>
      </c>
      <c r="B63" s="2">
        <f>391.03</f>
        <v>391.03</v>
      </c>
      <c r="C63" s="2">
        <v>600</v>
      </c>
      <c r="D63" s="12" t="s">
        <v>97</v>
      </c>
    </row>
    <row r="64" spans="1:4">
      <c r="A64" s="6" t="s">
        <v>39</v>
      </c>
      <c r="B64" s="2">
        <f>0</f>
        <v>0</v>
      </c>
      <c r="C64" s="2">
        <v>500</v>
      </c>
      <c r="D64" s="12" t="s">
        <v>98</v>
      </c>
    </row>
    <row r="65" spans="1:4">
      <c r="A65" s="6" t="s">
        <v>40</v>
      </c>
      <c r="B65" s="2">
        <f>0</f>
        <v>0</v>
      </c>
      <c r="C65" s="2">
        <v>1000</v>
      </c>
      <c r="D65" s="12" t="s">
        <v>99</v>
      </c>
    </row>
    <row r="66" spans="1:4">
      <c r="A66" s="6" t="s">
        <v>41</v>
      </c>
      <c r="B66" s="2">
        <f>0</f>
        <v>0</v>
      </c>
      <c r="C66" s="2">
        <v>500</v>
      </c>
      <c r="D66" s="12" t="s">
        <v>100</v>
      </c>
    </row>
    <row r="67" spans="1:4">
      <c r="A67" s="6" t="s">
        <v>42</v>
      </c>
      <c r="B67" s="2">
        <f>209</f>
        <v>209</v>
      </c>
      <c r="C67" s="2">
        <f>12*300</f>
        <v>3600</v>
      </c>
      <c r="D67" s="12" t="s">
        <v>101</v>
      </c>
    </row>
    <row r="68" spans="1:4">
      <c r="A68" s="6" t="s">
        <v>43</v>
      </c>
      <c r="B68" s="2">
        <f>17826.25</f>
        <v>17826.25</v>
      </c>
      <c r="C68" s="2">
        <v>25250</v>
      </c>
      <c r="D68" s="12" t="s">
        <v>102</v>
      </c>
    </row>
    <row r="69" spans="1:4">
      <c r="A69" s="6" t="s">
        <v>44</v>
      </c>
      <c r="B69" s="2">
        <f>6755</f>
        <v>6755</v>
      </c>
      <c r="C69" s="2">
        <v>8640</v>
      </c>
      <c r="D69" s="12" t="s">
        <v>104</v>
      </c>
    </row>
    <row r="70" spans="1:4">
      <c r="A70" s="6" t="s">
        <v>45</v>
      </c>
      <c r="B70" s="2">
        <f>0</f>
        <v>0</v>
      </c>
      <c r="C70" s="2">
        <v>10000</v>
      </c>
      <c r="D70" s="12" t="s">
        <v>103</v>
      </c>
    </row>
    <row r="71" spans="1:4">
      <c r="A71" s="6" t="s">
        <v>46</v>
      </c>
      <c r="B71" s="2">
        <f>19425</f>
        <v>19425</v>
      </c>
      <c r="C71" s="2">
        <f>SUM(1450*5)+(10*540)</f>
        <v>12650</v>
      </c>
      <c r="D71" s="12" t="s">
        <v>88</v>
      </c>
    </row>
    <row r="72" spans="1:4">
      <c r="A72" s="6" t="s">
        <v>47</v>
      </c>
      <c r="B72" s="2">
        <f>0</f>
        <v>0</v>
      </c>
      <c r="C72" s="2">
        <f>0.625*500</f>
        <v>312.5</v>
      </c>
      <c r="D72" s="12" t="s">
        <v>89</v>
      </c>
    </row>
    <row r="73" spans="1:4">
      <c r="A73" s="6" t="s">
        <v>48</v>
      </c>
      <c r="B73" s="2">
        <f>159.73</f>
        <v>159.72999999999999</v>
      </c>
      <c r="C73" s="2">
        <v>175</v>
      </c>
      <c r="D73" s="12" t="s">
        <v>90</v>
      </c>
    </row>
    <row r="74" spans="1:4">
      <c r="A74" s="6" t="s">
        <v>49</v>
      </c>
      <c r="B74" s="2">
        <f>0</f>
        <v>0</v>
      </c>
      <c r="C74" s="2">
        <v>10000</v>
      </c>
      <c r="D74" s="12" t="s">
        <v>92</v>
      </c>
    </row>
    <row r="75" spans="1:4">
      <c r="A75" s="10" t="s">
        <v>50</v>
      </c>
      <c r="B75" s="3">
        <f>SUM(B58:B74)</f>
        <v>55341.640000000007</v>
      </c>
      <c r="C75" s="3">
        <f>SUM(C58:C74)</f>
        <v>85177.5</v>
      </c>
      <c r="D75" s="12"/>
    </row>
    <row r="76" spans="1:4">
      <c r="A76" s="10" t="s">
        <v>51</v>
      </c>
      <c r="B76" s="3">
        <f>((B47)+(B56))+(B75)</f>
        <v>273936.90999999997</v>
      </c>
      <c r="C76" s="3">
        <f>((C47)+(C56))+(C75)</f>
        <v>519893.11</v>
      </c>
      <c r="D76" s="12"/>
    </row>
    <row r="77" spans="1:4">
      <c r="A77" s="10" t="s">
        <v>52</v>
      </c>
      <c r="B77" s="3">
        <f>SUM(B26-B76)</f>
        <v>70271.579999999958</v>
      </c>
      <c r="C77" s="17">
        <f>SUM(C26-C76)</f>
        <v>-160564.75900000008</v>
      </c>
      <c r="D77" s="12"/>
    </row>
    <row r="78" spans="1:4">
      <c r="A78" s="6"/>
      <c r="B78" s="1"/>
      <c r="C78" s="1"/>
    </row>
  </sheetData>
  <mergeCells count="3">
    <mergeCell ref="A1:B1"/>
    <mergeCell ref="A2:B2"/>
    <mergeCell ref="A3:B3"/>
  </mergeCells>
  <pageMargins left="0.7" right="0.7" top="0.75" bottom="0.6" header="0.3" footer="0.3"/>
  <pageSetup scale="10" fitToHeight="7" orientation="landscape" horizontalDpi="0" verticalDpi="0"/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Recommended Budget</vt:lpstr>
      <vt:lpstr>'Recommended Budget'!Print_Titles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cp:lastPrinted>2022-09-01T18:03:57Z</cp:lastPrinted>
  <dcterms:created xsi:type="dcterms:W3CDTF">2022-09-01T17:43:15Z</dcterms:created>
  <dcterms:modified xsi:type="dcterms:W3CDTF">2022-09-01T23:16:41Z</dcterms:modified>
</cp:coreProperties>
</file>